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onhofa\AppData\Local\Microsoft\Windows\INetCache\Content.Outlook\5IBILN8Q\"/>
    </mc:Choice>
  </mc:AlternateContent>
  <bookViews>
    <workbookView xWindow="780" yWindow="420" windowWidth="18795" windowHeight="15135" tabRatio="500"/>
  </bookViews>
  <sheets>
    <sheet name="Financial Summary" sheetId="4" r:id="rId1"/>
    <sheet name="Notes" sheetId="5" r:id="rId2"/>
    <sheet name="Sheet3" sheetId="3" r:id="rId3"/>
    <sheet name="Sheet4" sheetId="6" r:id="rId4"/>
  </sheet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" i="4" l="1"/>
  <c r="K10" i="4" s="1"/>
  <c r="K35" i="4"/>
  <c r="K34" i="4"/>
  <c r="K31" i="4"/>
  <c r="K30" i="4"/>
  <c r="K28" i="4"/>
  <c r="K23" i="4"/>
  <c r="K15" i="4"/>
  <c r="I7" i="4" l="1"/>
  <c r="K3" i="4"/>
  <c r="K2" i="4"/>
  <c r="K6" i="4"/>
  <c r="K5" i="4"/>
  <c r="K7" i="4" s="1"/>
  <c r="G49" i="4"/>
  <c r="I24" i="4" l="1"/>
  <c r="K24" i="4" s="1"/>
  <c r="K25" i="4" s="1"/>
  <c r="H24" i="4"/>
  <c r="G24" i="4"/>
  <c r="F24" i="4"/>
  <c r="E24" i="4"/>
  <c r="H42" i="4"/>
  <c r="I42" i="4" s="1"/>
  <c r="K42" i="4" s="1"/>
  <c r="G11" i="4" l="1"/>
  <c r="I27" i="4" l="1"/>
  <c r="K27" i="4" s="1"/>
  <c r="I14" i="4"/>
  <c r="K14" i="4" s="1"/>
  <c r="I12" i="4"/>
  <c r="K12" i="4" s="1"/>
  <c r="I11" i="4"/>
  <c r="K11" i="4" s="1"/>
  <c r="K16" i="4" s="1"/>
  <c r="I48" i="4" l="1"/>
  <c r="K48" i="4" s="1"/>
  <c r="I47" i="4"/>
  <c r="I50" i="4" l="1"/>
  <c r="K47" i="4"/>
  <c r="K50" i="4"/>
  <c r="H13" i="4"/>
  <c r="I13" i="4" s="1"/>
  <c r="I16" i="4" s="1"/>
  <c r="F11" i="4" l="1"/>
  <c r="H50" i="4" l="1"/>
  <c r="G50" i="4"/>
  <c r="H43" i="4"/>
  <c r="I43" i="4" s="1"/>
  <c r="K43" i="4" s="1"/>
  <c r="G27" i="4"/>
  <c r="G16" i="4"/>
  <c r="H27" i="4" l="1"/>
  <c r="E49" i="4" l="1"/>
  <c r="E11" i="4" l="1"/>
  <c r="H16" i="4" s="1"/>
  <c r="E50" i="4" l="1"/>
  <c r="E40" i="4"/>
  <c r="F40" i="4" s="1"/>
  <c r="G40" i="4" s="1"/>
  <c r="H40" i="4" s="1"/>
  <c r="I40" i="4" s="1"/>
  <c r="E36" i="4"/>
  <c r="F36" i="4" s="1"/>
  <c r="G36" i="4" s="1"/>
  <c r="H36" i="4" s="1"/>
  <c r="I36" i="4" s="1"/>
  <c r="K36" i="4" s="1"/>
  <c r="E44" i="4"/>
  <c r="F44" i="4" s="1"/>
  <c r="G44" i="4" s="1"/>
  <c r="H44" i="4" s="1"/>
  <c r="I44" i="4" s="1"/>
  <c r="K44" i="4" s="1"/>
  <c r="F50" i="4" l="1"/>
  <c r="E32" i="4"/>
  <c r="F32" i="4" s="1"/>
  <c r="G32" i="4" s="1"/>
  <c r="H32" i="4" s="1"/>
  <c r="I32" i="4" s="1"/>
  <c r="K32" i="4" s="1"/>
  <c r="E51" i="4"/>
  <c r="E53" i="4" s="1"/>
  <c r="F51" i="4" s="1"/>
  <c r="F16" i="4"/>
  <c r="F53" i="4" l="1"/>
  <c r="G51" i="4" s="1"/>
  <c r="G53" i="4" s="1"/>
  <c r="H51" i="4" s="1"/>
  <c r="H53" i="4" s="1"/>
  <c r="I51" i="4" s="1"/>
  <c r="I53" i="4" s="1"/>
  <c r="K51" i="4" s="1"/>
  <c r="K53" i="4" s="1"/>
  <c r="E16" i="4"/>
  <c r="E17" i="4" l="1"/>
  <c r="E6" i="4" s="1"/>
  <c r="E7" i="4" l="1"/>
  <c r="E18" i="4" s="1"/>
  <c r="F17" i="4" s="1"/>
  <c r="F6" i="4" s="1"/>
  <c r="F7" i="4" s="1"/>
  <c r="F18" i="4" s="1"/>
  <c r="G17" i="4" l="1"/>
  <c r="G6" i="4" s="1"/>
  <c r="G7" i="4" s="1"/>
  <c r="G18" i="4" s="1"/>
  <c r="H7" i="4"/>
  <c r="H17" i="4" l="1"/>
  <c r="H18" i="4"/>
  <c r="I17" i="4" l="1"/>
  <c r="I18" i="4"/>
  <c r="K18" i="4" l="1"/>
  <c r="K17" i="4"/>
</calcChain>
</file>

<file path=xl/comments1.xml><?xml version="1.0" encoding="utf-8"?>
<comments xmlns="http://schemas.openxmlformats.org/spreadsheetml/2006/main">
  <authors>
    <author>Nicci</author>
    <author>Knock, Cathryn L</author>
    <author>Nicole Dolan</author>
    <author>Real, Nicole</author>
    <author>Support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Nicci:</t>
        </r>
        <r>
          <rPr>
            <sz val="9"/>
            <color indexed="81"/>
            <rFont val="Tahoma"/>
            <family val="2"/>
          </rPr>
          <t xml:space="preserve">
FY22 expense projections provided by the unit in Q2 projection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Nicci:</t>
        </r>
        <r>
          <rPr>
            <sz val="9"/>
            <color indexed="81"/>
            <rFont val="Tahoma"/>
            <family val="2"/>
          </rPr>
          <t xml:space="preserve">
FY23 expense projections provided by the budget office
</t>
        </r>
      </text>
    </comment>
    <comment ref="K1" authorId="1" shapeId="0">
      <text>
        <r>
          <rPr>
            <b/>
            <sz val="8"/>
            <color indexed="81"/>
            <rFont val="Tahoma"/>
            <family val="2"/>
          </rPr>
          <t>Knock, Cathryn L:</t>
        </r>
        <r>
          <rPr>
            <sz val="8"/>
            <color indexed="81"/>
            <rFont val="Tahoma"/>
            <family val="2"/>
          </rPr>
          <t xml:space="preserve">
College Estimates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H5" authorId="2" shapeId="0">
      <text>
        <r>
          <rPr>
            <b/>
            <sz val="9"/>
            <color indexed="81"/>
            <rFont val="Tahoma"/>
            <family val="2"/>
          </rPr>
          <t>Nicole Dolan:</t>
        </r>
        <r>
          <rPr>
            <sz val="9"/>
            <color indexed="81"/>
            <rFont val="Tahoma"/>
            <family val="2"/>
          </rPr>
          <t xml:space="preserve">
FY22 Final Budget Model</t>
        </r>
      </text>
    </comment>
    <comment ref="I5" authorId="2" shapeId="0">
      <text>
        <r>
          <rPr>
            <b/>
            <sz val="9"/>
            <color indexed="81"/>
            <rFont val="Tahoma"/>
            <family val="2"/>
          </rPr>
          <t>Nicole Dolan:</t>
        </r>
        <r>
          <rPr>
            <sz val="9"/>
            <color indexed="81"/>
            <rFont val="Tahoma"/>
            <family val="2"/>
          </rPr>
          <t xml:space="preserve">
FY23 Prospective Budget Model</t>
        </r>
      </text>
    </comment>
    <comment ref="H6" authorId="3" shapeId="0">
      <text>
        <r>
          <rPr>
            <b/>
            <sz val="9"/>
            <color indexed="81"/>
            <rFont val="Tahoma"/>
            <family val="2"/>
          </rPr>
          <t>Dolan, Nicole:</t>
        </r>
        <r>
          <rPr>
            <sz val="9"/>
            <color indexed="81"/>
            <rFont val="Tahoma"/>
            <family val="2"/>
          </rPr>
          <t xml:space="preserve">
Estimate based on 3 year average </t>
        </r>
      </text>
    </comment>
    <comment ref="I6" authorId="3" shapeId="0">
      <text>
        <r>
          <rPr>
            <b/>
            <sz val="9"/>
            <color indexed="81"/>
            <rFont val="Tahoma"/>
            <family val="2"/>
          </rPr>
          <t>Dolan, Nicole:</t>
        </r>
        <r>
          <rPr>
            <sz val="9"/>
            <color indexed="81"/>
            <rFont val="Tahoma"/>
            <family val="2"/>
          </rPr>
          <t xml:space="preserve">
Estimate based on 3 year average </t>
        </r>
      </text>
    </comment>
    <comment ref="K10" authorId="1" shapeId="0">
      <text>
        <r>
          <rPr>
            <b/>
            <sz val="8"/>
            <color indexed="81"/>
            <rFont val="Tahoma"/>
            <family val="2"/>
          </rPr>
          <t>Knock, Cathryn L: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Includes ADIE @240K, DSS @145K.  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>Nicci:</t>
        </r>
        <r>
          <rPr>
            <sz val="9"/>
            <color indexed="81"/>
            <rFont val="Tahoma"/>
            <family val="2"/>
          </rPr>
          <t xml:space="preserve">
FY22 expense projections provided by the unit in Q2 projection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</rPr>
          <t>Nicci:</t>
        </r>
        <r>
          <rPr>
            <sz val="9"/>
            <color indexed="81"/>
            <rFont val="Tahoma"/>
            <family val="2"/>
          </rPr>
          <t xml:space="preserve">
FY23 expense projections provided by the budget office
</t>
        </r>
      </text>
    </comment>
    <comment ref="A22" authorId="4" shapeId="0">
      <text>
        <r>
          <rPr>
            <b/>
            <sz val="9"/>
            <color indexed="81"/>
            <rFont val="Tahoma"/>
            <family val="2"/>
          </rPr>
          <t>Support:</t>
        </r>
        <r>
          <rPr>
            <sz val="9"/>
            <color indexed="81"/>
            <rFont val="Tahoma"/>
            <family val="2"/>
          </rPr>
          <t xml:space="preserve">
Fund begins with:
    FS
    FA
    FG
    FE</t>
        </r>
      </text>
    </comment>
    <comment ref="K34" authorId="1" shapeId="0">
      <text>
        <r>
          <rPr>
            <b/>
            <sz val="8"/>
            <color indexed="81"/>
            <rFont val="Tahoma"/>
            <family val="2"/>
          </rPr>
          <t>Knock, Cathryn L:</t>
        </r>
        <r>
          <rPr>
            <sz val="8"/>
            <color indexed="81"/>
            <rFont val="Tahoma"/>
            <family val="2"/>
          </rPr>
          <t xml:space="preserve">
Need to add in the new endowments????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C46" authorId="4" shapeId="0">
      <text>
        <r>
          <rPr>
            <b/>
            <sz val="9"/>
            <color indexed="81"/>
            <rFont val="Tahoma"/>
            <family val="2"/>
          </rPr>
          <t>Support:</t>
        </r>
        <r>
          <rPr>
            <sz val="9"/>
            <color indexed="81"/>
            <rFont val="Tahoma"/>
            <family val="2"/>
          </rPr>
          <t xml:space="preserve">
From Yearend Financlials</t>
        </r>
      </text>
    </comment>
    <comment ref="H47" authorId="2" shapeId="0">
      <text>
        <r>
          <rPr>
            <b/>
            <sz val="9"/>
            <color indexed="81"/>
            <rFont val="Tahoma"/>
            <family val="2"/>
          </rPr>
          <t>Nicole Dolan:</t>
        </r>
        <r>
          <rPr>
            <sz val="9"/>
            <color indexed="81"/>
            <rFont val="Tahoma"/>
            <family val="2"/>
          </rPr>
          <t xml:space="preserve">
Used FY22-Q2 Projection</t>
        </r>
      </text>
    </comment>
    <comment ref="K48" authorId="1" shapeId="0">
      <text>
        <r>
          <rPr>
            <b/>
            <sz val="11"/>
            <color indexed="81"/>
            <rFont val="Tahoma"/>
            <family val="2"/>
          </rPr>
          <t>Knock, Cathryn L:</t>
        </r>
        <r>
          <rPr>
            <sz val="11"/>
            <color indexed="81"/>
            <rFont val="Tahoma"/>
            <family val="2"/>
          </rPr>
          <t xml:space="preserve">
Includes 2 carbon hires @160K each</t>
        </r>
      </text>
    </comment>
  </commentList>
</comments>
</file>

<file path=xl/sharedStrings.xml><?xml version="1.0" encoding="utf-8"?>
<sst xmlns="http://schemas.openxmlformats.org/spreadsheetml/2006/main" count="116" uniqueCount="91">
  <si>
    <t>Education and General Funds</t>
  </si>
  <si>
    <t>Revenue Budget</t>
  </si>
  <si>
    <t>Actual Revenue</t>
  </si>
  <si>
    <t>Expenditure Budget</t>
  </si>
  <si>
    <t>Actual Expenditures</t>
  </si>
  <si>
    <t>Salaries &amp; OPE</t>
  </si>
  <si>
    <t>Services &amp; Supplies</t>
  </si>
  <si>
    <t>Capital Outlay</t>
  </si>
  <si>
    <t>Student Aid</t>
  </si>
  <si>
    <t>Internal Sales Reimbursement</t>
  </si>
  <si>
    <t>Net  Transfers</t>
  </si>
  <si>
    <t>Total Expenditures</t>
  </si>
  <si>
    <t>Fund Balance</t>
  </si>
  <si>
    <t>Foundation Reimbursed Expenses</t>
  </si>
  <si>
    <t>Scholarships</t>
  </si>
  <si>
    <t>Total Expenses</t>
  </si>
  <si>
    <t>Gift Funds (M2xxxx)</t>
  </si>
  <si>
    <t>Endowed Funds (438xxx)</t>
  </si>
  <si>
    <t>Invention Royalties (06xxx)</t>
  </si>
  <si>
    <t>Expenditures</t>
  </si>
  <si>
    <t>Initial Budget Model Resources</t>
  </si>
  <si>
    <t>Other Fund Information:</t>
  </si>
  <si>
    <t>Other</t>
  </si>
  <si>
    <t>New Awards</t>
  </si>
  <si>
    <t>E&amp;G</t>
  </si>
  <si>
    <t>Oklahoma State Faculty Salary Survey by discipline  2009-2010</t>
  </si>
  <si>
    <t>60 Carnegie Classification Research Universities/Very High Research Activity</t>
  </si>
  <si>
    <t>Values are weighted averages for disciplines equivalent to OSU College structures</t>
  </si>
  <si>
    <t>Average Salary, 9-month Equivalent</t>
  </si>
  <si>
    <t>Full</t>
  </si>
  <si>
    <t>Associate</t>
  </si>
  <si>
    <t>Assistant</t>
  </si>
  <si>
    <t>Instructor</t>
  </si>
  <si>
    <t>All disciplines without medical disciplines, average</t>
  </si>
  <si>
    <t>Agricultural Sciences (~1700)):</t>
  </si>
  <si>
    <t>Forestry (~870) :</t>
  </si>
  <si>
    <t>Liberal Arts (~8400):</t>
  </si>
  <si>
    <t>Engineering (~4100):</t>
  </si>
  <si>
    <t>Education (~1100):</t>
  </si>
  <si>
    <t>Earth, Ocean, and Atm. Aci. (~900):</t>
  </si>
  <si>
    <t>Public Health &amp;Human Sci. (~780)</t>
  </si>
  <si>
    <t>Business:</t>
  </si>
  <si>
    <t>Design and Human Env. (~90)</t>
  </si>
  <si>
    <t>Business, Management, Marketing, and Related Support (~1600)</t>
  </si>
  <si>
    <t>Science (~6900):</t>
  </si>
  <si>
    <t>Pharmacy (~500):</t>
  </si>
  <si>
    <t>Veterinary Medicine (~450)</t>
  </si>
  <si>
    <t>(this is almost certainly flawed, too low for a biomedical science)</t>
  </si>
  <si>
    <t>Previous Year Carryover</t>
  </si>
  <si>
    <t>Self Support</t>
  </si>
  <si>
    <t>Total Exp Budget w/o Carryover</t>
  </si>
  <si>
    <t>Grant Expenses Query:</t>
  </si>
  <si>
    <t>Fund beg w/ 00 or 01</t>
  </si>
  <si>
    <t>Fund beg w/FS, FA, FG, FE</t>
  </si>
  <si>
    <t>Gift Funds not Foundation</t>
  </si>
  <si>
    <t>Fund Type beg w/3</t>
  </si>
  <si>
    <t>Fund beg M2</t>
  </si>
  <si>
    <t>Fund beg w/438</t>
  </si>
  <si>
    <t>Endowed Funds</t>
  </si>
  <si>
    <t>Royalties</t>
  </si>
  <si>
    <t>Fund beg w/06</t>
  </si>
  <si>
    <t>Fund beg w/ 1, 05, 090</t>
  </si>
  <si>
    <t>Statewide Operations</t>
  </si>
  <si>
    <t>Fund beg w/ 03</t>
  </si>
  <si>
    <t>Revenue</t>
  </si>
  <si>
    <t>Expenses</t>
  </si>
  <si>
    <t>Net Transfers</t>
  </si>
  <si>
    <t>Net Change in Fund Balance</t>
  </si>
  <si>
    <t>Beginning Fund Balance</t>
  </si>
  <si>
    <t>Fund Deductions</t>
  </si>
  <si>
    <t>Ending Fund Balance</t>
  </si>
  <si>
    <t>Org beg w/23</t>
  </si>
  <si>
    <t>Org beg w23</t>
  </si>
  <si>
    <t>FY18</t>
  </si>
  <si>
    <t>Total Revenues</t>
  </si>
  <si>
    <t xml:space="preserve">Grants and Contracts </t>
  </si>
  <si>
    <t>FY19</t>
  </si>
  <si>
    <t>Grant Type does not equal E, F, J, N, X</t>
  </si>
  <si>
    <r>
      <t xml:space="preserve">Statewide Operations </t>
    </r>
    <r>
      <rPr>
        <vertAlign val="superscript"/>
        <sz val="11"/>
        <color theme="1"/>
        <rFont val="Calibri"/>
        <family val="2"/>
        <scheme val="minor"/>
      </rPr>
      <t>1</t>
    </r>
  </si>
  <si>
    <t>Grant Awards:</t>
  </si>
  <si>
    <t>https://research.oregonstate.edu/statistics/awards</t>
  </si>
  <si>
    <r>
      <t>Other Budget Distributions</t>
    </r>
    <r>
      <rPr>
        <vertAlign val="superscript"/>
        <sz val="11"/>
        <color theme="1"/>
        <rFont val="Calibri"/>
        <family val="2"/>
        <scheme val="minor"/>
      </rPr>
      <t>3</t>
    </r>
  </si>
  <si>
    <t>Other budget distributions are budget office estimates based on trending and do not indicate an allocation of funds.</t>
  </si>
  <si>
    <t>Projections provided by Budget Office</t>
  </si>
  <si>
    <t>FY20</t>
  </si>
  <si>
    <t>Projections for FY22 Statewide Operations fund provided by unit, remainder provided by Budget Office</t>
  </si>
  <si>
    <t>FY21</t>
  </si>
  <si>
    <t>FY22 Budget</t>
  </si>
  <si>
    <r>
      <t xml:space="preserve">FY23 Estimate 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</si>
  <si>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FY24 Estimate</t>
  </si>
  <si>
    <t>Change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</si>
</sst>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3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109">
    <xf numFmtId="0" fontId="0" fillId="0" borderId="0" xfId="0"/>
    <xf numFmtId="164" fontId="13" fillId="0" borderId="0" xfId="1" applyNumberFormat="1" applyFont="1"/>
    <xf numFmtId="164" fontId="13" fillId="0" borderId="1" xfId="1" applyNumberFormat="1" applyFont="1" applyBorder="1"/>
    <xf numFmtId="164" fontId="13" fillId="0" borderId="0" xfId="1" applyNumberFormat="1" applyFont="1" applyBorder="1"/>
    <xf numFmtId="0" fontId="11" fillId="0" borderId="0" xfId="0" applyFont="1" applyBorder="1"/>
    <xf numFmtId="164" fontId="12" fillId="0" borderId="0" xfId="1" applyNumberFormat="1" applyFont="1"/>
    <xf numFmtId="0" fontId="14" fillId="3" borderId="2" xfId="0" applyFont="1" applyFill="1" applyBorder="1"/>
    <xf numFmtId="165" fontId="15" fillId="3" borderId="2" xfId="2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1" xfId="0" applyFont="1" applyBorder="1"/>
    <xf numFmtId="0" fontId="16" fillId="2" borderId="3" xfId="0" applyFont="1" applyFill="1" applyBorder="1"/>
    <xf numFmtId="0" fontId="14" fillId="2" borderId="3" xfId="0" applyFont="1" applyFill="1" applyBorder="1"/>
    <xf numFmtId="0" fontId="14" fillId="2" borderId="3" xfId="0" applyFont="1" applyFill="1" applyBorder="1" applyAlignment="1">
      <alignment horizontal="center"/>
    </xf>
    <xf numFmtId="0" fontId="12" fillId="0" borderId="0" xfId="0" applyFont="1" applyBorder="1"/>
    <xf numFmtId="0" fontId="12" fillId="0" borderId="0" xfId="0" applyFont="1" applyFill="1" applyBorder="1"/>
    <xf numFmtId="164" fontId="13" fillId="0" borderId="0" xfId="1" applyNumberFormat="1" applyFont="1" applyFill="1" applyBorder="1"/>
    <xf numFmtId="0" fontId="12" fillId="0" borderId="1" xfId="0" applyFont="1" applyFill="1" applyBorder="1"/>
    <xf numFmtId="0" fontId="14" fillId="0" borderId="1" xfId="0" applyFont="1" applyFill="1" applyBorder="1"/>
    <xf numFmtId="0" fontId="11" fillId="0" borderId="4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1" fillId="0" borderId="4" xfId="0" applyFont="1" applyFill="1" applyBorder="1"/>
    <xf numFmtId="0" fontId="12" fillId="0" borderId="4" xfId="0" applyFont="1" applyFill="1" applyBorder="1"/>
    <xf numFmtId="165" fontId="15" fillId="0" borderId="1" xfId="2" applyNumberFormat="1" applyFont="1" applyFill="1" applyBorder="1"/>
    <xf numFmtId="0" fontId="12" fillId="0" borderId="5" xfId="0" applyFont="1" applyBorder="1"/>
    <xf numFmtId="0" fontId="10" fillId="0" borderId="0" xfId="0" applyFont="1"/>
    <xf numFmtId="0" fontId="0" fillId="2" borderId="0" xfId="0" applyFill="1"/>
    <xf numFmtId="0" fontId="0" fillId="0" borderId="0" xfId="0" applyAlignment="1"/>
    <xf numFmtId="0" fontId="0" fillId="0" borderId="1" xfId="0" applyBorder="1"/>
    <xf numFmtId="0" fontId="10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wrapText="1"/>
    </xf>
    <xf numFmtId="41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Alignment="1">
      <alignment horizontal="left" wrapText="1" indent="2"/>
    </xf>
    <xf numFmtId="0" fontId="18" fillId="0" borderId="0" xfId="0" applyFont="1"/>
    <xf numFmtId="0" fontId="0" fillId="0" borderId="5" xfId="0" applyBorder="1" applyAlignment="1">
      <alignment horizontal="left" wrapText="1" indent="1"/>
    </xf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quotePrefix="1" applyBorder="1"/>
    <xf numFmtId="0" fontId="0" fillId="0" borderId="0" xfId="0" applyFill="1" applyBorder="1"/>
    <xf numFmtId="0" fontId="0" fillId="0" borderId="0" xfId="0" applyBorder="1" applyAlignment="1">
      <alignment horizontal="left"/>
    </xf>
    <xf numFmtId="0" fontId="8" fillId="0" borderId="0" xfId="0" applyFont="1" applyBorder="1"/>
    <xf numFmtId="164" fontId="13" fillId="0" borderId="1" xfId="1" applyNumberFormat="1" applyFont="1" applyFill="1" applyBorder="1"/>
    <xf numFmtId="165" fontId="13" fillId="0" borderId="2" xfId="2" applyNumberFormat="1" applyFont="1" applyFill="1" applyBorder="1"/>
    <xf numFmtId="164" fontId="13" fillId="0" borderId="0" xfId="1" applyNumberFormat="1" applyFont="1" applyFill="1"/>
    <xf numFmtId="9" fontId="0" fillId="0" borderId="0" xfId="3" applyFont="1"/>
    <xf numFmtId="0" fontId="14" fillId="0" borderId="4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6" fontId="12" fillId="0" borderId="0" xfId="3" applyNumberFormat="1" applyFont="1"/>
    <xf numFmtId="0" fontId="21" fillId="0" borderId="0" xfId="0" applyFont="1" applyAlignment="1">
      <alignment horizontal="right"/>
    </xf>
    <xf numFmtId="0" fontId="22" fillId="0" borderId="0" xfId="0" applyFont="1"/>
    <xf numFmtId="0" fontId="6" fillId="0" borderId="0" xfId="0" applyFont="1" applyBorder="1"/>
    <xf numFmtId="0" fontId="6" fillId="0" borderId="4" xfId="0" applyFont="1" applyBorder="1"/>
    <xf numFmtId="0" fontId="6" fillId="0" borderId="1" xfId="0" applyFont="1" applyBorder="1"/>
    <xf numFmtId="0" fontId="6" fillId="0" borderId="0" xfId="0" applyFont="1"/>
    <xf numFmtId="0" fontId="6" fillId="0" borderId="5" xfId="0" applyFont="1" applyBorder="1"/>
    <xf numFmtId="164" fontId="13" fillId="0" borderId="4" xfId="1" applyNumberFormat="1" applyFont="1" applyFill="1" applyBorder="1"/>
    <xf numFmtId="164" fontId="13" fillId="0" borderId="5" xfId="1" applyNumberFormat="1" applyFont="1" applyFill="1" applyBorder="1"/>
    <xf numFmtId="164" fontId="15" fillId="0" borderId="0" xfId="1" applyNumberFormat="1" applyFont="1" applyFill="1" applyBorder="1"/>
    <xf numFmtId="0" fontId="11" fillId="0" borderId="0" xfId="0" applyFont="1" applyFill="1" applyBorder="1"/>
    <xf numFmtId="164" fontId="24" fillId="0" borderId="0" xfId="1" applyNumberFormat="1" applyFont="1" applyBorder="1"/>
    <xf numFmtId="164" fontId="25" fillId="0" borderId="0" xfId="1" applyNumberFormat="1" applyFont="1"/>
    <xf numFmtId="164" fontId="25" fillId="0" borderId="0" xfId="1" applyNumberFormat="1" applyFont="1" applyFill="1"/>
    <xf numFmtId="164" fontId="25" fillId="0" borderId="1" xfId="1" applyNumberFormat="1" applyFont="1" applyFill="1" applyBorder="1"/>
    <xf numFmtId="164" fontId="5" fillId="0" borderId="0" xfId="1" applyNumberFormat="1" applyFont="1"/>
    <xf numFmtId="0" fontId="5" fillId="0" borderId="0" xfId="0" applyFont="1"/>
    <xf numFmtId="164" fontId="25" fillId="0" borderId="0" xfId="1" applyNumberFormat="1" applyFont="1" applyFill="1" applyBorder="1"/>
    <xf numFmtId="0" fontId="26" fillId="0" borderId="0" xfId="0" applyFont="1"/>
    <xf numFmtId="164" fontId="25" fillId="0" borderId="1" xfId="1" applyNumberFormat="1" applyFont="1" applyBorder="1"/>
    <xf numFmtId="164" fontId="26" fillId="0" borderId="0" xfId="1" applyNumberFormat="1" applyFont="1" applyFill="1"/>
    <xf numFmtId="165" fontId="27" fillId="0" borderId="1" xfId="2" applyNumberFormat="1" applyFont="1" applyFill="1" applyBorder="1"/>
    <xf numFmtId="0" fontId="28" fillId="0" borderId="4" xfId="0" applyFont="1" applyBorder="1" applyAlignment="1">
      <alignment horizontal="center"/>
    </xf>
    <xf numFmtId="164" fontId="25" fillId="0" borderId="0" xfId="1" applyNumberFormat="1" applyFont="1" applyBorder="1"/>
    <xf numFmtId="164" fontId="25" fillId="0" borderId="4" xfId="1" applyNumberFormat="1" applyFont="1" applyFill="1" applyBorder="1"/>
    <xf numFmtId="0" fontId="26" fillId="0" borderId="4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164" fontId="25" fillId="0" borderId="5" xfId="1" applyNumberFormat="1" applyFont="1" applyFill="1" applyBorder="1"/>
    <xf numFmtId="0" fontId="29" fillId="0" borderId="0" xfId="0" applyFont="1" applyFill="1"/>
    <xf numFmtId="165" fontId="25" fillId="0" borderId="2" xfId="2" applyNumberFormat="1" applyFont="1" applyFill="1" applyBorder="1"/>
    <xf numFmtId="0" fontId="4" fillId="0" borderId="0" xfId="0" applyFont="1" applyBorder="1"/>
    <xf numFmtId="164" fontId="25" fillId="0" borderId="0" xfId="1" applyNumberFormat="1" applyFont="1" applyFill="1" applyBorder="1" applyAlignment="1">
      <alignment horizontal="center"/>
    </xf>
    <xf numFmtId="0" fontId="31" fillId="0" borderId="0" xfId="4"/>
    <xf numFmtId="0" fontId="3" fillId="0" borderId="0" xfId="0" applyFont="1"/>
    <xf numFmtId="164" fontId="2" fillId="0" borderId="0" xfId="1" applyNumberFormat="1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4" fontId="13" fillId="0" borderId="0" xfId="1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164" fontId="1" fillId="0" borderId="0" xfId="1" applyNumberFormat="1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/>
    <xf numFmtId="43" fontId="10" fillId="0" borderId="0" xfId="1" applyFont="1"/>
    <xf numFmtId="43" fontId="0" fillId="0" borderId="0" xfId="1" applyFont="1"/>
    <xf numFmtId="166" fontId="25" fillId="0" borderId="0" xfId="1" applyNumberFormat="1" applyFont="1"/>
    <xf numFmtId="166" fontId="25" fillId="0" borderId="0" xfId="1" applyNumberFormat="1" applyFont="1" applyFill="1"/>
    <xf numFmtId="0" fontId="26" fillId="0" borderId="0" xfId="0" applyFont="1" applyFill="1"/>
    <xf numFmtId="0" fontId="14" fillId="4" borderId="3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research.oregonstate.edu/statistics/awar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7"/>
  <sheetViews>
    <sheetView tabSelected="1" workbookViewId="0">
      <selection activeCell="M20" sqref="M20"/>
    </sheetView>
  </sheetViews>
  <sheetFormatPr defaultColWidth="8.875" defaultRowHeight="15.75" x14ac:dyDescent="0.25"/>
  <cols>
    <col min="1" max="1" width="3.875" customWidth="1"/>
    <col min="2" max="2" width="2.375" customWidth="1"/>
    <col min="3" max="3" width="25.625" customWidth="1"/>
    <col min="4" max="6" width="14.5" customWidth="1"/>
    <col min="7" max="7" width="14.5" style="101" customWidth="1"/>
    <col min="8" max="8" width="14.5" customWidth="1"/>
    <col min="9" max="9" width="12.625" bestFit="1" customWidth="1"/>
    <col min="10" max="10" width="8.75" customWidth="1"/>
    <col min="11" max="14" width="12.625" bestFit="1" customWidth="1"/>
    <col min="15" max="15" width="11.125" bestFit="1" customWidth="1"/>
    <col min="19" max="19" width="12.625" bestFit="1" customWidth="1"/>
    <col min="23" max="23" width="12.625" bestFit="1" customWidth="1"/>
  </cols>
  <sheetData>
    <row r="1" spans="1:13" ht="30" x14ac:dyDescent="0.25">
      <c r="A1" s="11" t="s">
        <v>0</v>
      </c>
      <c r="B1" s="12"/>
      <c r="C1" s="12"/>
      <c r="D1" s="13" t="s">
        <v>73</v>
      </c>
      <c r="E1" s="13" t="s">
        <v>76</v>
      </c>
      <c r="F1" s="13" t="s">
        <v>84</v>
      </c>
      <c r="G1" s="13" t="s">
        <v>86</v>
      </c>
      <c r="H1" s="13" t="s">
        <v>87</v>
      </c>
      <c r="I1" s="13" t="s">
        <v>88</v>
      </c>
      <c r="J1" s="107" t="s">
        <v>90</v>
      </c>
      <c r="K1" s="13" t="s">
        <v>89</v>
      </c>
    </row>
    <row r="2" spans="1:13" x14ac:dyDescent="0.25">
      <c r="A2" s="8" t="s">
        <v>2</v>
      </c>
      <c r="B2" s="8"/>
      <c r="C2" s="8"/>
      <c r="D2" s="1">
        <v>641320</v>
      </c>
      <c r="E2" s="1">
        <v>679606</v>
      </c>
      <c r="F2" s="1">
        <v>551850</v>
      </c>
      <c r="G2" s="1">
        <v>502024</v>
      </c>
      <c r="H2" s="67">
        <v>500000</v>
      </c>
      <c r="I2" s="67">
        <v>500000</v>
      </c>
      <c r="J2" s="105"/>
      <c r="K2" s="67">
        <f>+I2</f>
        <v>500000</v>
      </c>
    </row>
    <row r="3" spans="1:13" x14ac:dyDescent="0.25">
      <c r="A3" s="8" t="s">
        <v>1</v>
      </c>
      <c r="B3" s="8"/>
      <c r="C3" s="8"/>
      <c r="D3" s="5">
        <v>538000</v>
      </c>
      <c r="E3" s="70">
        <v>542000</v>
      </c>
      <c r="F3" s="89">
        <v>300000</v>
      </c>
      <c r="G3" s="96">
        <v>304161</v>
      </c>
      <c r="H3" s="75">
        <v>331000</v>
      </c>
      <c r="I3" s="75">
        <v>350000</v>
      </c>
      <c r="J3" s="105"/>
      <c r="K3" s="67">
        <f>+I3</f>
        <v>350000</v>
      </c>
    </row>
    <row r="4" spans="1:13" x14ac:dyDescent="0.25">
      <c r="A4" s="8" t="s">
        <v>3</v>
      </c>
      <c r="B4" s="8"/>
      <c r="C4" s="8"/>
      <c r="D4" s="5"/>
      <c r="E4" s="71"/>
      <c r="F4" s="90"/>
      <c r="G4" s="97"/>
      <c r="H4" s="73"/>
      <c r="I4" s="73"/>
      <c r="J4" s="106"/>
      <c r="K4" s="73"/>
    </row>
    <row r="5" spans="1:13" x14ac:dyDescent="0.25">
      <c r="A5" s="8"/>
      <c r="B5" s="8" t="s">
        <v>20</v>
      </c>
      <c r="C5" s="8"/>
      <c r="D5" s="1">
        <v>9355600</v>
      </c>
      <c r="E5" s="48">
        <v>9534063</v>
      </c>
      <c r="F5" s="48">
        <v>9340391</v>
      </c>
      <c r="G5" s="48">
        <v>8544811</v>
      </c>
      <c r="H5" s="68">
        <v>8934104</v>
      </c>
      <c r="I5" s="68">
        <v>9497894</v>
      </c>
      <c r="J5" s="105"/>
      <c r="K5" s="68">
        <f>+I5</f>
        <v>9497894</v>
      </c>
      <c r="L5" s="54"/>
      <c r="M5" s="54"/>
    </row>
    <row r="6" spans="1:13" ht="17.25" x14ac:dyDescent="0.25">
      <c r="A6" s="8"/>
      <c r="B6" s="88" t="s">
        <v>81</v>
      </c>
      <c r="C6" s="8"/>
      <c r="D6" s="2">
        <v>804671</v>
      </c>
      <c r="E6" s="2">
        <f>15117119-E5-E17</f>
        <v>644341</v>
      </c>
      <c r="F6" s="46">
        <f>15164418-F5-F17</f>
        <v>1025008</v>
      </c>
      <c r="G6" s="46">
        <f>15571644-G5-G17</f>
        <v>1264532</v>
      </c>
      <c r="H6" s="69">
        <v>1000000</v>
      </c>
      <c r="I6" s="69">
        <v>1000000</v>
      </c>
      <c r="J6" s="105"/>
      <c r="K6" s="69">
        <f>+I6</f>
        <v>1000000</v>
      </c>
    </row>
    <row r="7" spans="1:13" x14ac:dyDescent="0.25">
      <c r="A7" s="8"/>
      <c r="B7" s="8"/>
      <c r="C7" s="8" t="s">
        <v>50</v>
      </c>
      <c r="D7" s="1">
        <v>10160271</v>
      </c>
      <c r="E7" s="1">
        <f t="shared" ref="E7:G7" si="0">SUM(E5:E6)</f>
        <v>10178404</v>
      </c>
      <c r="F7" s="1">
        <f t="shared" si="0"/>
        <v>10365399</v>
      </c>
      <c r="G7" s="1">
        <f t="shared" si="0"/>
        <v>9809343</v>
      </c>
      <c r="H7" s="67">
        <f t="shared" ref="H7" si="1">SUM(H5:H6)</f>
        <v>9934104</v>
      </c>
      <c r="I7" s="67">
        <f>SUM(I5:I6)</f>
        <v>10497894</v>
      </c>
      <c r="J7" s="68"/>
      <c r="K7" s="67">
        <f>SUM(K5:K6)</f>
        <v>10497894</v>
      </c>
    </row>
    <row r="8" spans="1:13" x14ac:dyDescent="0.25">
      <c r="A8" s="8"/>
      <c r="B8" s="8"/>
      <c r="C8" s="8"/>
      <c r="D8" s="1"/>
      <c r="E8" s="1"/>
      <c r="F8" s="1"/>
      <c r="G8" s="1"/>
      <c r="H8" s="67"/>
      <c r="I8" s="67"/>
      <c r="J8" s="68"/>
      <c r="K8" s="67"/>
    </row>
    <row r="9" spans="1:13" x14ac:dyDescent="0.25">
      <c r="A9" s="8" t="s">
        <v>4</v>
      </c>
      <c r="B9" s="8"/>
      <c r="C9" s="8"/>
      <c r="D9" s="8"/>
      <c r="E9" s="71"/>
      <c r="F9" s="90"/>
      <c r="G9" s="97"/>
      <c r="H9" s="73"/>
      <c r="I9" s="73"/>
      <c r="J9" s="73"/>
      <c r="K9" s="73"/>
    </row>
    <row r="10" spans="1:13" x14ac:dyDescent="0.25">
      <c r="A10" s="8"/>
      <c r="B10" s="8" t="s">
        <v>5</v>
      </c>
      <c r="C10" s="8"/>
      <c r="D10" s="1">
        <v>7163909</v>
      </c>
      <c r="E10" s="48">
        <v>7154842</v>
      </c>
      <c r="F10" s="1">
        <v>7708324</v>
      </c>
      <c r="G10" s="1">
        <v>7848529</v>
      </c>
      <c r="H10" s="67">
        <v>8280120.7599999998</v>
      </c>
      <c r="I10" s="67">
        <f>ROUND(H10*1.035,-3)</f>
        <v>8570000</v>
      </c>
      <c r="J10" s="104">
        <v>3.5000000000000003E-2</v>
      </c>
      <c r="K10" s="67">
        <f>(I10*1+J10)+385000</f>
        <v>8955000.0350000001</v>
      </c>
      <c r="L10" s="54"/>
      <c r="M10" s="54"/>
    </row>
    <row r="11" spans="1:13" x14ac:dyDescent="0.25">
      <c r="A11" s="8"/>
      <c r="B11" s="8" t="s">
        <v>6</v>
      </c>
      <c r="C11" s="8"/>
      <c r="D11" s="1">
        <v>1510843</v>
      </c>
      <c r="E11" s="48">
        <f>1420971+454517</f>
        <v>1875488</v>
      </c>
      <c r="F11" s="1">
        <f>1934844-F12-F13-F14</f>
        <v>1650428</v>
      </c>
      <c r="G11" s="1">
        <f>1099153+60998</f>
        <v>1160151</v>
      </c>
      <c r="H11" s="67">
        <v>1700000</v>
      </c>
      <c r="I11" s="67">
        <f t="shared" ref="H11:I14" si="2">ROUND(H11*1.03,-3)</f>
        <v>1751000</v>
      </c>
      <c r="J11" s="104">
        <v>0.02</v>
      </c>
      <c r="K11" s="67">
        <f>+I11*(1+J11)</f>
        <v>1786020</v>
      </c>
      <c r="L11" s="54"/>
      <c r="M11" s="54"/>
    </row>
    <row r="12" spans="1:13" x14ac:dyDescent="0.25">
      <c r="A12" s="8"/>
      <c r="B12" s="8" t="s">
        <v>7</v>
      </c>
      <c r="C12" s="8"/>
      <c r="D12" s="1">
        <v>68940</v>
      </c>
      <c r="E12" s="48">
        <v>1229243</v>
      </c>
      <c r="F12" s="48">
        <v>636744</v>
      </c>
      <c r="G12" s="1">
        <v>446286</v>
      </c>
      <c r="H12" s="67">
        <v>625000</v>
      </c>
      <c r="I12" s="67">
        <f t="shared" si="2"/>
        <v>644000</v>
      </c>
      <c r="J12" s="104">
        <v>0.03</v>
      </c>
      <c r="K12" s="67">
        <f>+I12*(1+J12)</f>
        <v>663320</v>
      </c>
      <c r="L12" s="54"/>
      <c r="M12" s="54"/>
    </row>
    <row r="13" spans="1:13" x14ac:dyDescent="0.25">
      <c r="A13" s="8"/>
      <c r="B13" s="8" t="s">
        <v>8</v>
      </c>
      <c r="C13" s="8"/>
      <c r="D13" s="1">
        <v>36339</v>
      </c>
      <c r="E13" s="48">
        <v>59477</v>
      </c>
      <c r="F13" s="48">
        <v>21603</v>
      </c>
      <c r="G13" s="1">
        <v>0</v>
      </c>
      <c r="H13" s="67">
        <f t="shared" si="2"/>
        <v>0</v>
      </c>
      <c r="I13" s="67">
        <f t="shared" si="2"/>
        <v>0</v>
      </c>
      <c r="J13" s="104"/>
      <c r="K13" s="67"/>
    </row>
    <row r="14" spans="1:13" x14ac:dyDescent="0.25">
      <c r="A14" s="8"/>
      <c r="B14" s="8" t="s">
        <v>9</v>
      </c>
      <c r="C14" s="8"/>
      <c r="D14" s="1">
        <v>-289801</v>
      </c>
      <c r="E14" s="48">
        <v>-305536</v>
      </c>
      <c r="F14" s="48">
        <v>-373931</v>
      </c>
      <c r="G14" s="1">
        <v>-291322</v>
      </c>
      <c r="H14" s="67">
        <v>-300000</v>
      </c>
      <c r="I14" s="67">
        <f t="shared" si="2"/>
        <v>-309000</v>
      </c>
      <c r="J14" s="104">
        <v>0.04</v>
      </c>
      <c r="K14" s="67">
        <f>+I14*(1+J14)</f>
        <v>-321360</v>
      </c>
    </row>
    <row r="15" spans="1:13" x14ac:dyDescent="0.25">
      <c r="A15" s="8"/>
      <c r="B15" s="8" t="s">
        <v>10</v>
      </c>
      <c r="C15" s="8"/>
      <c r="D15" s="2">
        <v>726592</v>
      </c>
      <c r="E15" s="46">
        <v>442192</v>
      </c>
      <c r="F15" s="2">
        <v>10799</v>
      </c>
      <c r="G15" s="2">
        <v>15841</v>
      </c>
      <c r="H15" s="74">
        <v>0</v>
      </c>
      <c r="I15" s="74">
        <v>20000</v>
      </c>
      <c r="J15" s="104">
        <v>0</v>
      </c>
      <c r="K15" s="74">
        <f>+I15</f>
        <v>20000</v>
      </c>
    </row>
    <row r="16" spans="1:13" x14ac:dyDescent="0.25">
      <c r="A16" s="8"/>
      <c r="B16" s="8"/>
      <c r="C16" s="8" t="s">
        <v>11</v>
      </c>
      <c r="D16" s="1">
        <v>9216822</v>
      </c>
      <c r="E16" s="1">
        <f t="shared" ref="E16:G16" si="3">SUM(E10:E15)</f>
        <v>10455706</v>
      </c>
      <c r="F16" s="1">
        <f t="shared" si="3"/>
        <v>9653967</v>
      </c>
      <c r="G16" s="1">
        <f t="shared" si="3"/>
        <v>9179485</v>
      </c>
      <c r="H16" s="67">
        <f t="shared" ref="H16:I16" si="4">SUM(H10:H15)</f>
        <v>10305120.76</v>
      </c>
      <c r="I16" s="67">
        <f t="shared" si="4"/>
        <v>10676000</v>
      </c>
      <c r="J16" s="67"/>
      <c r="K16" s="67">
        <f>SUM(K10:K15)</f>
        <v>11102980.035</v>
      </c>
    </row>
    <row r="17" spans="1:12" x14ac:dyDescent="0.25">
      <c r="A17" s="8" t="s">
        <v>48</v>
      </c>
      <c r="B17" s="8"/>
      <c r="C17" s="8"/>
      <c r="D17" s="1">
        <v>3891946</v>
      </c>
      <c r="E17" s="1">
        <f>+D18</f>
        <v>4938715</v>
      </c>
      <c r="F17" s="1">
        <f>E18</f>
        <v>4799019</v>
      </c>
      <c r="G17" s="1">
        <f>F18</f>
        <v>5762301</v>
      </c>
      <c r="H17" s="67">
        <f>G18</f>
        <v>6590022</v>
      </c>
      <c r="I17" s="67">
        <f>H18</f>
        <v>6388005.2400000002</v>
      </c>
      <c r="J17" s="67"/>
      <c r="K17" s="67">
        <f>+I18</f>
        <v>6359899.2400000021</v>
      </c>
    </row>
    <row r="18" spans="1:12" ht="16.5" thickBot="1" x14ac:dyDescent="0.3">
      <c r="A18" s="6" t="s">
        <v>12</v>
      </c>
      <c r="B18" s="6"/>
      <c r="C18" s="6"/>
      <c r="D18" s="7">
        <v>4938715</v>
      </c>
      <c r="E18" s="7">
        <f>D18+E2-E3+E7-E16</f>
        <v>4799019</v>
      </c>
      <c r="F18" s="7">
        <f>E18+F2-F3+F7-F16</f>
        <v>5762301</v>
      </c>
      <c r="G18" s="7">
        <f>F18+G2-G3+G7-G16</f>
        <v>6590022</v>
      </c>
      <c r="H18" s="7">
        <f>G18+H2-H3+H7-H16</f>
        <v>6388005.2400000002</v>
      </c>
      <c r="I18" s="7">
        <f>H18+I2-I3+I7-I16</f>
        <v>6359899.2400000021</v>
      </c>
      <c r="J18" s="7"/>
      <c r="K18" s="7">
        <f>I18+K2-K3+K7-K16</f>
        <v>5904813.2050000019</v>
      </c>
    </row>
    <row r="19" spans="1:12" ht="16.5" thickTop="1" x14ac:dyDescent="0.25">
      <c r="A19" s="8"/>
      <c r="B19" s="8"/>
      <c r="C19" s="8"/>
      <c r="D19" s="8"/>
      <c r="E19" s="8"/>
      <c r="F19" s="90"/>
      <c r="G19" s="97"/>
      <c r="H19" s="8"/>
      <c r="I19" s="8"/>
      <c r="J19" s="8"/>
      <c r="K19" s="8"/>
    </row>
    <row r="20" spans="1:12" ht="17.25" x14ac:dyDescent="0.25">
      <c r="A20" s="12" t="s">
        <v>21</v>
      </c>
      <c r="B20" s="12"/>
      <c r="C20" s="12"/>
      <c r="D20" s="13" t="s">
        <v>73</v>
      </c>
      <c r="E20" s="13" t="s">
        <v>76</v>
      </c>
      <c r="F20" s="13" t="s">
        <v>84</v>
      </c>
      <c r="G20" s="13" t="s">
        <v>86</v>
      </c>
      <c r="H20" s="13" t="s">
        <v>87</v>
      </c>
      <c r="I20" s="13" t="s">
        <v>88</v>
      </c>
      <c r="J20" s="13"/>
      <c r="K20" s="13"/>
    </row>
    <row r="21" spans="1:12" x14ac:dyDescent="0.25">
      <c r="A21" s="8"/>
      <c r="B21" s="8"/>
      <c r="C21" s="8"/>
      <c r="D21" s="9"/>
      <c r="E21" s="9"/>
      <c r="F21" s="91"/>
      <c r="G21" s="98"/>
      <c r="H21" s="9"/>
      <c r="I21" s="9"/>
      <c r="J21" s="9"/>
      <c r="K21" s="9"/>
    </row>
    <row r="22" spans="1:12" x14ac:dyDescent="0.25">
      <c r="A22" s="23" t="s">
        <v>13</v>
      </c>
      <c r="B22" s="24"/>
      <c r="C22" s="24"/>
      <c r="D22" s="22"/>
      <c r="E22" s="50"/>
      <c r="F22" s="50"/>
      <c r="G22" s="50"/>
      <c r="H22" s="50"/>
      <c r="I22" s="50"/>
      <c r="J22" s="50"/>
      <c r="K22" s="50"/>
    </row>
    <row r="23" spans="1:12" x14ac:dyDescent="0.25">
      <c r="A23" s="15"/>
      <c r="B23" s="15" t="s">
        <v>14</v>
      </c>
      <c r="C23" s="15"/>
      <c r="D23" s="16">
        <v>982273</v>
      </c>
      <c r="E23" s="16">
        <v>931801</v>
      </c>
      <c r="F23" s="16">
        <v>904972</v>
      </c>
      <c r="G23" s="16">
        <v>992660</v>
      </c>
      <c r="H23" s="72">
        <v>950000</v>
      </c>
      <c r="I23" s="72">
        <v>950000</v>
      </c>
      <c r="J23" s="104">
        <v>0.02</v>
      </c>
      <c r="K23" s="72">
        <f>+I23*(1+J23)</f>
        <v>969000</v>
      </c>
      <c r="L23" s="49"/>
    </row>
    <row r="24" spans="1:12" x14ac:dyDescent="0.25">
      <c r="A24" s="15"/>
      <c r="B24" s="15" t="s">
        <v>22</v>
      </c>
      <c r="C24" s="15"/>
      <c r="D24" s="16">
        <v>1819259</v>
      </c>
      <c r="E24" s="16">
        <f>+E25-E23</f>
        <v>1467477</v>
      </c>
      <c r="F24" s="16">
        <f t="shared" ref="F24" si="5">+F25-F23</f>
        <v>2090569</v>
      </c>
      <c r="G24" s="16">
        <f>+G25-G23</f>
        <v>1666529</v>
      </c>
      <c r="H24" s="72">
        <f>+H25-H23</f>
        <v>1750000</v>
      </c>
      <c r="I24" s="72">
        <f>+I25-I23</f>
        <v>1750000</v>
      </c>
      <c r="J24" s="104">
        <v>3.5000000000000003E-2</v>
      </c>
      <c r="K24" s="72">
        <f>I24*(1+J24)</f>
        <v>1811249.9999999998</v>
      </c>
    </row>
    <row r="25" spans="1:12" x14ac:dyDescent="0.25">
      <c r="A25" s="17"/>
      <c r="B25" s="18"/>
      <c r="C25" s="18" t="s">
        <v>15</v>
      </c>
      <c r="D25" s="25">
        <v>2801532</v>
      </c>
      <c r="E25" s="25">
        <v>2399278</v>
      </c>
      <c r="F25" s="25">
        <v>2995541</v>
      </c>
      <c r="G25" s="25">
        <v>2659189</v>
      </c>
      <c r="H25" s="76">
        <v>2700000</v>
      </c>
      <c r="I25" s="76">
        <v>2700000</v>
      </c>
      <c r="J25" s="104"/>
      <c r="K25" s="76">
        <f>+SUM(K23:K24)</f>
        <v>2780250</v>
      </c>
    </row>
    <row r="26" spans="1:12" x14ac:dyDescent="0.25">
      <c r="A26" s="19" t="s">
        <v>75</v>
      </c>
      <c r="B26" s="20"/>
      <c r="C26" s="20"/>
      <c r="D26" s="21"/>
      <c r="E26" s="51"/>
      <c r="F26" s="51"/>
      <c r="G26" s="51"/>
      <c r="H26" s="77"/>
      <c r="I26" s="77"/>
      <c r="J26" s="104"/>
      <c r="K26" s="77"/>
    </row>
    <row r="27" spans="1:12" x14ac:dyDescent="0.25">
      <c r="A27" s="14"/>
      <c r="B27" s="57" t="s">
        <v>11</v>
      </c>
      <c r="C27" s="57"/>
      <c r="D27" s="66">
        <v>12022573</v>
      </c>
      <c r="E27" s="66">
        <v>12040665</v>
      </c>
      <c r="F27" s="3">
        <v>11659901</v>
      </c>
      <c r="G27" s="3">
        <f>+G28*1.16</f>
        <v>10111303.559999999</v>
      </c>
      <c r="H27" s="78">
        <f>+H28*1.16</f>
        <v>9745540.4799999986</v>
      </c>
      <c r="I27" s="78">
        <f>+I28*1.16</f>
        <v>11600000</v>
      </c>
      <c r="J27" s="104">
        <v>0.05</v>
      </c>
      <c r="K27" s="78">
        <f>I27*(1+J27)</f>
        <v>12180000</v>
      </c>
    </row>
    <row r="28" spans="1:12" x14ac:dyDescent="0.25">
      <c r="A28" s="14"/>
      <c r="B28" s="57" t="s">
        <v>23</v>
      </c>
      <c r="C28" s="57"/>
      <c r="D28" s="86">
        <v>11042684</v>
      </c>
      <c r="E28" s="86">
        <v>8521586</v>
      </c>
      <c r="F28" s="92">
        <v>11336112</v>
      </c>
      <c r="G28" s="92">
        <v>8716641</v>
      </c>
      <c r="H28" s="86">
        <v>8401328</v>
      </c>
      <c r="I28" s="86">
        <v>10000000</v>
      </c>
      <c r="J28" s="104">
        <v>0.05</v>
      </c>
      <c r="K28" s="78">
        <f>I28*(1+J28)</f>
        <v>10500000</v>
      </c>
    </row>
    <row r="29" spans="1:12" x14ac:dyDescent="0.25">
      <c r="A29" s="19" t="s">
        <v>16</v>
      </c>
      <c r="B29" s="58"/>
      <c r="C29" s="58"/>
      <c r="D29" s="62"/>
      <c r="E29" s="62"/>
      <c r="F29" s="62"/>
      <c r="G29" s="62"/>
      <c r="H29" s="79"/>
      <c r="I29" s="79"/>
      <c r="J29" s="104"/>
      <c r="K29" s="79"/>
      <c r="L29" s="16"/>
    </row>
    <row r="30" spans="1:12" x14ac:dyDescent="0.25">
      <c r="A30" s="4"/>
      <c r="B30" s="57" t="s">
        <v>74</v>
      </c>
      <c r="C30" s="57"/>
      <c r="D30" s="16">
        <v>6528155</v>
      </c>
      <c r="E30" s="16">
        <v>10320966</v>
      </c>
      <c r="F30" s="16">
        <v>7271706</v>
      </c>
      <c r="G30" s="16">
        <v>9069502</v>
      </c>
      <c r="H30" s="72">
        <v>8300000</v>
      </c>
      <c r="I30" s="72">
        <v>8300000</v>
      </c>
      <c r="J30" s="104">
        <v>0</v>
      </c>
      <c r="K30" s="78">
        <f t="shared" ref="K30:K31" si="6">I30*(1+J30)</f>
        <v>8300000</v>
      </c>
      <c r="L30" s="16"/>
    </row>
    <row r="31" spans="1:12" x14ac:dyDescent="0.25">
      <c r="A31" s="14"/>
      <c r="B31" s="57" t="s">
        <v>15</v>
      </c>
      <c r="C31" s="57"/>
      <c r="D31" s="16">
        <v>6304072</v>
      </c>
      <c r="E31" s="16">
        <v>8958052</v>
      </c>
      <c r="F31" s="16">
        <v>7178437</v>
      </c>
      <c r="G31" s="16">
        <v>12257430</v>
      </c>
      <c r="H31" s="72">
        <v>10000000</v>
      </c>
      <c r="I31" s="72">
        <v>9000000</v>
      </c>
      <c r="J31" s="104">
        <v>0</v>
      </c>
      <c r="K31" s="78">
        <f t="shared" si="6"/>
        <v>9000000</v>
      </c>
    </row>
    <row r="32" spans="1:12" x14ac:dyDescent="0.25">
      <c r="A32" s="10"/>
      <c r="B32" s="59" t="s">
        <v>12</v>
      </c>
      <c r="C32" s="59"/>
      <c r="D32" s="46">
        <v>6516029</v>
      </c>
      <c r="E32" s="46">
        <f>+D32+E30-E31</f>
        <v>7878943</v>
      </c>
      <c r="F32" s="46">
        <f>+E32+F30-F31</f>
        <v>7972212</v>
      </c>
      <c r="G32" s="46">
        <f>+F32+G30-G31</f>
        <v>4784284</v>
      </c>
      <c r="H32" s="69">
        <f>+G32+H30-H31</f>
        <v>3084284</v>
      </c>
      <c r="I32" s="69">
        <f>+H32+I30-I31</f>
        <v>2384284</v>
      </c>
      <c r="J32" s="104"/>
      <c r="K32" s="69">
        <f>+I32+K30-K31</f>
        <v>1684284</v>
      </c>
    </row>
    <row r="33" spans="1:23" x14ac:dyDescent="0.25">
      <c r="A33" s="19" t="s">
        <v>17</v>
      </c>
      <c r="B33" s="58"/>
      <c r="C33" s="58"/>
      <c r="D33" s="52"/>
      <c r="E33" s="52"/>
      <c r="F33" s="93"/>
      <c r="G33" s="99"/>
      <c r="H33" s="80"/>
      <c r="I33" s="80"/>
      <c r="J33" s="104"/>
      <c r="K33" s="80"/>
    </row>
    <row r="34" spans="1:23" x14ac:dyDescent="0.25">
      <c r="A34" s="4"/>
      <c r="B34" s="57" t="s">
        <v>74</v>
      </c>
      <c r="C34" s="57"/>
      <c r="D34" s="48">
        <v>305541</v>
      </c>
      <c r="E34" s="48">
        <v>474654</v>
      </c>
      <c r="F34" s="48">
        <v>250956</v>
      </c>
      <c r="G34" s="48">
        <v>341788</v>
      </c>
      <c r="H34" s="68">
        <v>350000</v>
      </c>
      <c r="I34" s="68">
        <v>350000</v>
      </c>
      <c r="J34" s="104">
        <v>0</v>
      </c>
      <c r="K34" s="78">
        <f t="shared" ref="K34:K35" si="7">I34*(1+J34)</f>
        <v>350000</v>
      </c>
    </row>
    <row r="35" spans="1:23" x14ac:dyDescent="0.25">
      <c r="A35" s="14"/>
      <c r="B35" s="57" t="s">
        <v>15</v>
      </c>
      <c r="C35" s="57"/>
      <c r="D35" s="48">
        <v>293666</v>
      </c>
      <c r="E35" s="16">
        <v>709853</v>
      </c>
      <c r="F35" s="16">
        <v>253807</v>
      </c>
      <c r="G35" s="16">
        <v>333418</v>
      </c>
      <c r="H35" s="72">
        <v>350000</v>
      </c>
      <c r="I35" s="72">
        <v>350000</v>
      </c>
      <c r="J35" s="104">
        <v>0</v>
      </c>
      <c r="K35" s="78">
        <f t="shared" si="7"/>
        <v>350000</v>
      </c>
    </row>
    <row r="36" spans="1:23" x14ac:dyDescent="0.25">
      <c r="A36" s="10"/>
      <c r="B36" s="59" t="s">
        <v>12</v>
      </c>
      <c r="C36" s="59"/>
      <c r="D36" s="46">
        <v>255838</v>
      </c>
      <c r="E36" s="46">
        <f>+D36+E34-E35</f>
        <v>20639</v>
      </c>
      <c r="F36" s="46">
        <f>+E36+F34-F35</f>
        <v>17788</v>
      </c>
      <c r="G36" s="46">
        <f>+F36+G34-G35</f>
        <v>26158</v>
      </c>
      <c r="H36" s="69">
        <f>+G36+H34-H35</f>
        <v>26158</v>
      </c>
      <c r="I36" s="69">
        <f>+H36+I34-I35</f>
        <v>26158</v>
      </c>
      <c r="J36" s="104"/>
      <c r="K36" s="69">
        <f>+I36+K34-K35</f>
        <v>26158</v>
      </c>
    </row>
    <row r="37" spans="1:23" x14ac:dyDescent="0.25">
      <c r="A37" s="23" t="s">
        <v>18</v>
      </c>
      <c r="B37" s="58"/>
      <c r="C37" s="58"/>
      <c r="D37" s="52"/>
      <c r="E37" s="52"/>
      <c r="F37" s="93"/>
      <c r="G37" s="99"/>
      <c r="H37" s="80"/>
      <c r="I37" s="80"/>
      <c r="J37" s="104"/>
      <c r="K37" s="80"/>
    </row>
    <row r="38" spans="1:23" x14ac:dyDescent="0.25">
      <c r="A38" s="65"/>
      <c r="B38" s="57" t="s">
        <v>74</v>
      </c>
      <c r="C38" s="57"/>
      <c r="D38" s="48">
        <v>122743</v>
      </c>
      <c r="E38" s="48">
        <v>3230</v>
      </c>
      <c r="F38" s="48">
        <v>838</v>
      </c>
      <c r="G38" s="48">
        <v>158</v>
      </c>
      <c r="H38" s="68">
        <v>0</v>
      </c>
      <c r="I38" s="68">
        <v>0</v>
      </c>
      <c r="J38" s="104"/>
      <c r="K38" s="68"/>
    </row>
    <row r="39" spans="1:23" x14ac:dyDescent="0.25">
      <c r="A39" s="15"/>
      <c r="B39" s="57" t="s">
        <v>19</v>
      </c>
      <c r="C39" s="57"/>
      <c r="D39" s="48">
        <v>226938</v>
      </c>
      <c r="E39" s="16">
        <v>137832</v>
      </c>
      <c r="F39" s="16">
        <v>37410</v>
      </c>
      <c r="G39" s="16">
        <v>6667</v>
      </c>
      <c r="H39" s="72">
        <v>4820</v>
      </c>
      <c r="I39" s="72">
        <v>0</v>
      </c>
      <c r="J39" s="104"/>
      <c r="K39" s="72"/>
    </row>
    <row r="40" spans="1:23" x14ac:dyDescent="0.25">
      <c r="A40" s="18"/>
      <c r="B40" s="59" t="s">
        <v>12</v>
      </c>
      <c r="C40" s="59"/>
      <c r="D40" s="46">
        <v>182503</v>
      </c>
      <c r="E40" s="46">
        <f>+D40+E38-E39</f>
        <v>47901</v>
      </c>
      <c r="F40" s="46">
        <f>+E40+F38-F39</f>
        <v>11329</v>
      </c>
      <c r="G40" s="46">
        <f>+F40+G38-G39</f>
        <v>4820</v>
      </c>
      <c r="H40" s="69">
        <f>+G40+H38-H39</f>
        <v>0</v>
      </c>
      <c r="I40" s="69">
        <f>+H40+I38-I39</f>
        <v>0</v>
      </c>
      <c r="J40" s="104"/>
      <c r="K40" s="69"/>
    </row>
    <row r="41" spans="1:23" x14ac:dyDescent="0.25">
      <c r="A41" s="4" t="s">
        <v>49</v>
      </c>
      <c r="B41" s="57"/>
      <c r="C41" s="57"/>
      <c r="D41" s="53"/>
      <c r="E41" s="53"/>
      <c r="F41" s="94"/>
      <c r="G41" s="100"/>
      <c r="H41" s="81"/>
      <c r="I41" s="81"/>
      <c r="J41" s="104"/>
      <c r="K41" s="81"/>
    </row>
    <row r="42" spans="1:23" x14ac:dyDescent="0.25">
      <c r="A42" s="4"/>
      <c r="B42" s="57" t="s">
        <v>74</v>
      </c>
      <c r="C42" s="57"/>
      <c r="D42" s="48">
        <v>1405464</v>
      </c>
      <c r="E42" s="48">
        <v>1654802</v>
      </c>
      <c r="F42" s="48">
        <v>1527927</v>
      </c>
      <c r="G42" s="48">
        <v>1479457</v>
      </c>
      <c r="H42" s="68">
        <f>+G42*1.03</f>
        <v>1523840.71</v>
      </c>
      <c r="I42" s="68">
        <f>+H42*1.03</f>
        <v>1569555.9313000001</v>
      </c>
      <c r="J42" s="104">
        <v>0</v>
      </c>
      <c r="K42" s="78">
        <f t="shared" ref="K42:K43" si="8">I42*(1+J42)</f>
        <v>1569555.9313000001</v>
      </c>
      <c r="O42" s="102"/>
      <c r="S42" s="102"/>
      <c r="W42" s="102"/>
    </row>
    <row r="43" spans="1:23" x14ac:dyDescent="0.25">
      <c r="A43" s="8"/>
      <c r="B43" s="60" t="s">
        <v>15</v>
      </c>
      <c r="C43" s="60"/>
      <c r="D43" s="48">
        <v>1420546</v>
      </c>
      <c r="E43" s="48">
        <v>1532166</v>
      </c>
      <c r="F43" s="48">
        <v>1588276</v>
      </c>
      <c r="G43" s="48">
        <v>1436196</v>
      </c>
      <c r="H43" s="68">
        <f>+G43*1.03</f>
        <v>1479281.8800000001</v>
      </c>
      <c r="I43" s="68">
        <f>+H43*1.03</f>
        <v>1523660.3364000001</v>
      </c>
      <c r="J43" s="104">
        <v>0.01</v>
      </c>
      <c r="K43" s="78">
        <f t="shared" si="8"/>
        <v>1538896.9397640002</v>
      </c>
      <c r="O43" s="102"/>
      <c r="S43" s="102"/>
      <c r="W43" s="102"/>
    </row>
    <row r="44" spans="1:23" ht="16.5" thickBot="1" x14ac:dyDescent="0.3">
      <c r="A44" s="26"/>
      <c r="B44" s="61" t="s">
        <v>12</v>
      </c>
      <c r="C44" s="61"/>
      <c r="D44" s="63">
        <v>353179</v>
      </c>
      <c r="E44" s="63">
        <f>+D44+E42-E43</f>
        <v>475815</v>
      </c>
      <c r="F44" s="63">
        <f>+E44+F42-F43</f>
        <v>415466</v>
      </c>
      <c r="G44" s="63">
        <f>+F44+G42-G43</f>
        <v>458727</v>
      </c>
      <c r="H44" s="82">
        <f>+G44+H42-H43</f>
        <v>503285.82999999984</v>
      </c>
      <c r="I44" s="82">
        <f>+H44+I42-I43</f>
        <v>549181.42489999975</v>
      </c>
      <c r="J44" s="104"/>
      <c r="K44" s="82">
        <f>+I44+K42-K43</f>
        <v>579840.41643599956</v>
      </c>
    </row>
    <row r="45" spans="1:23" x14ac:dyDescent="0.25">
      <c r="A45" s="14"/>
      <c r="B45" s="14"/>
      <c r="C45" s="14"/>
      <c r="D45" s="3"/>
      <c r="E45" s="16"/>
      <c r="F45" s="16"/>
      <c r="G45" s="16"/>
      <c r="H45" s="72"/>
      <c r="I45" s="72"/>
      <c r="J45" s="104"/>
      <c r="K45" s="72"/>
      <c r="L45" s="103"/>
      <c r="M45" s="103"/>
      <c r="N45" s="103"/>
    </row>
    <row r="46" spans="1:23" ht="17.25" x14ac:dyDescent="0.25">
      <c r="A46" s="85" t="s">
        <v>78</v>
      </c>
      <c r="B46" s="45"/>
      <c r="C46" s="45"/>
      <c r="D46" s="3"/>
      <c r="E46" s="64"/>
      <c r="F46" s="95"/>
      <c r="G46" s="95"/>
      <c r="H46" s="83"/>
      <c r="I46" s="83"/>
      <c r="J46" s="104"/>
      <c r="K46" s="83"/>
      <c r="L46" s="103"/>
      <c r="M46" s="103"/>
      <c r="N46" s="103"/>
    </row>
    <row r="47" spans="1:23" x14ac:dyDescent="0.25">
      <c r="B47" t="s">
        <v>64</v>
      </c>
      <c r="D47" s="16">
        <v>10906905</v>
      </c>
      <c r="E47" s="16">
        <v>9813767</v>
      </c>
      <c r="F47" s="16">
        <v>9820051</v>
      </c>
      <c r="G47" s="16">
        <v>9662679</v>
      </c>
      <c r="H47" s="72">
        <v>10980727</v>
      </c>
      <c r="I47" s="72">
        <f>+H47*1.02</f>
        <v>11200341.540000001</v>
      </c>
      <c r="J47" s="104">
        <v>0.01</v>
      </c>
      <c r="K47" s="78">
        <f t="shared" ref="K47" si="9">I47*(1+J47)</f>
        <v>11312344.955400001</v>
      </c>
    </row>
    <row r="48" spans="1:23" x14ac:dyDescent="0.25">
      <c r="B48" t="s">
        <v>65</v>
      </c>
      <c r="D48" s="16">
        <v>11365267</v>
      </c>
      <c r="E48" s="16">
        <v>9503998</v>
      </c>
      <c r="F48" s="16">
        <v>9069860</v>
      </c>
      <c r="G48" s="16">
        <v>8006106</v>
      </c>
      <c r="H48" s="72">
        <v>8976394</v>
      </c>
      <c r="I48" s="72">
        <f>+H48*1.02</f>
        <v>9155921.8800000008</v>
      </c>
      <c r="J48" s="104">
        <v>0.03</v>
      </c>
      <c r="K48" s="78">
        <f>I48*(1+J48)+320000</f>
        <v>9750599.5364000015</v>
      </c>
    </row>
    <row r="49" spans="1:11" x14ac:dyDescent="0.25">
      <c r="B49" t="s">
        <v>66</v>
      </c>
      <c r="D49" s="46">
        <v>-739027</v>
      </c>
      <c r="E49" s="46">
        <f>-764126+269301</f>
        <v>-494825</v>
      </c>
      <c r="F49" s="46">
        <v>0</v>
      </c>
      <c r="G49" s="46">
        <f>4973241-4968283</f>
        <v>4958</v>
      </c>
      <c r="H49" s="69">
        <v>2900</v>
      </c>
      <c r="I49" s="69">
        <v>0</v>
      </c>
      <c r="J49" s="104"/>
      <c r="K49" s="69"/>
    </row>
    <row r="50" spans="1:11" x14ac:dyDescent="0.25">
      <c r="C50" t="s">
        <v>67</v>
      </c>
      <c r="D50" s="16">
        <v>280665</v>
      </c>
      <c r="E50" s="16">
        <f t="shared" ref="E50:H50" si="10">E47-E48-E49</f>
        <v>804594</v>
      </c>
      <c r="F50" s="16">
        <f t="shared" si="10"/>
        <v>750191</v>
      </c>
      <c r="G50" s="16">
        <f t="shared" si="10"/>
        <v>1651615</v>
      </c>
      <c r="H50" s="72">
        <f t="shared" si="10"/>
        <v>2001433</v>
      </c>
      <c r="I50" s="72">
        <f>I47-I48-I49</f>
        <v>2044419.6600000001</v>
      </c>
      <c r="J50" s="104"/>
      <c r="K50" s="72">
        <f>K47-K48-K49</f>
        <v>1561745.4189999998</v>
      </c>
    </row>
    <row r="51" spans="1:11" x14ac:dyDescent="0.25">
      <c r="C51" t="s">
        <v>68</v>
      </c>
      <c r="D51" s="16">
        <v>1719294</v>
      </c>
      <c r="E51" s="16">
        <f>+D53</f>
        <v>1999960</v>
      </c>
      <c r="F51" s="16">
        <f>E53</f>
        <v>2804554</v>
      </c>
      <c r="G51" s="16">
        <f>F53</f>
        <v>3554745</v>
      </c>
      <c r="H51" s="72">
        <f>G53</f>
        <v>5206360</v>
      </c>
      <c r="I51" s="72">
        <f>H53</f>
        <v>7207793</v>
      </c>
      <c r="J51" s="104"/>
      <c r="K51" s="72">
        <f>+I53</f>
        <v>9252212.6600000001</v>
      </c>
    </row>
    <row r="52" spans="1:11" x14ac:dyDescent="0.25">
      <c r="C52" t="s">
        <v>69</v>
      </c>
      <c r="D52" s="46">
        <v>1</v>
      </c>
      <c r="E52" s="46"/>
      <c r="F52" s="46"/>
      <c r="G52" s="46"/>
      <c r="H52" s="69"/>
      <c r="I52" s="69"/>
      <c r="J52" s="104"/>
      <c r="K52" s="69"/>
    </row>
    <row r="53" spans="1:11" ht="16.5" thickBot="1" x14ac:dyDescent="0.3">
      <c r="C53" t="s">
        <v>70</v>
      </c>
      <c r="D53" s="47">
        <v>1999960</v>
      </c>
      <c r="E53" s="47">
        <f t="shared" ref="E53:H53" si="11">SUM(E50:E52)</f>
        <v>2804554</v>
      </c>
      <c r="F53" s="47">
        <f t="shared" si="11"/>
        <v>3554745</v>
      </c>
      <c r="G53" s="47">
        <f t="shared" si="11"/>
        <v>5206360</v>
      </c>
      <c r="H53" s="84">
        <f t="shared" si="11"/>
        <v>7207793</v>
      </c>
      <c r="I53" s="84">
        <f>SUM(I50:I52)</f>
        <v>9252212.6600000001</v>
      </c>
      <c r="J53" s="104"/>
      <c r="K53" s="84">
        <f>SUM(K50:K52)</f>
        <v>10813958.079</v>
      </c>
    </row>
    <row r="54" spans="1:11" ht="16.5" thickTop="1" x14ac:dyDescent="0.25">
      <c r="J54" s="104"/>
    </row>
    <row r="55" spans="1:11" ht="18" x14ac:dyDescent="0.25">
      <c r="A55" s="55">
        <v>1</v>
      </c>
      <c r="B55" s="56" t="s">
        <v>85</v>
      </c>
    </row>
    <row r="56" spans="1:11" ht="18" x14ac:dyDescent="0.25">
      <c r="A56" s="55">
        <v>2</v>
      </c>
      <c r="B56" s="56" t="s">
        <v>83</v>
      </c>
    </row>
    <row r="57" spans="1:11" ht="18" x14ac:dyDescent="0.25">
      <c r="A57" s="55">
        <v>3</v>
      </c>
      <c r="B57" s="56" t="s">
        <v>82</v>
      </c>
    </row>
  </sheetData>
  <phoneticPr fontId="17" type="noConversion"/>
  <pageMargins left="0.7" right="0.7" top="0.75" bottom="0.75" header="0.3" footer="0.3"/>
  <pageSetup scale="6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D24" sqref="D24"/>
    </sheetView>
  </sheetViews>
  <sheetFormatPr defaultColWidth="11" defaultRowHeight="15.75" x14ac:dyDescent="0.25"/>
  <cols>
    <col min="1" max="1" width="4.625" customWidth="1"/>
  </cols>
  <sheetData>
    <row r="1" spans="1:5" x14ac:dyDescent="0.25">
      <c r="A1" s="40"/>
      <c r="B1" s="40"/>
      <c r="C1" s="40"/>
      <c r="D1" s="40"/>
      <c r="E1" s="40"/>
    </row>
    <row r="2" spans="1:5" x14ac:dyDescent="0.25">
      <c r="A2" s="40" t="s">
        <v>24</v>
      </c>
      <c r="B2" s="40"/>
      <c r="C2" s="40"/>
      <c r="D2" s="40"/>
      <c r="E2" s="40"/>
    </row>
    <row r="3" spans="1:5" x14ac:dyDescent="0.25">
      <c r="A3" s="40"/>
      <c r="B3" s="40" t="s">
        <v>52</v>
      </c>
      <c r="C3" s="40"/>
      <c r="D3" s="40"/>
      <c r="E3" s="40"/>
    </row>
    <row r="4" spans="1:5" x14ac:dyDescent="0.25">
      <c r="A4" s="40"/>
      <c r="B4" s="40" t="s">
        <v>71</v>
      </c>
      <c r="C4" s="40"/>
      <c r="D4" s="40"/>
      <c r="E4" s="40"/>
    </row>
    <row r="5" spans="1:5" x14ac:dyDescent="0.25">
      <c r="A5" s="40"/>
      <c r="B5" s="40"/>
      <c r="C5" s="40"/>
      <c r="D5" s="40"/>
      <c r="E5" s="40"/>
    </row>
    <row r="6" spans="1:5" x14ac:dyDescent="0.25">
      <c r="A6" s="40"/>
      <c r="B6" s="40"/>
      <c r="C6" s="40"/>
      <c r="D6" s="40"/>
      <c r="E6" s="40"/>
    </row>
    <row r="7" spans="1:5" x14ac:dyDescent="0.25">
      <c r="A7" s="40" t="s">
        <v>13</v>
      </c>
      <c r="B7" s="40"/>
      <c r="C7" s="40"/>
      <c r="D7" s="40"/>
      <c r="E7" s="40"/>
    </row>
    <row r="8" spans="1:5" x14ac:dyDescent="0.25">
      <c r="A8" s="40"/>
      <c r="B8" s="40" t="s">
        <v>53</v>
      </c>
      <c r="C8" s="40"/>
      <c r="D8" s="40"/>
      <c r="E8" s="40"/>
    </row>
    <row r="9" spans="1:5" x14ac:dyDescent="0.25">
      <c r="A9" s="40"/>
      <c r="B9" s="40" t="s">
        <v>71</v>
      </c>
      <c r="C9" s="40"/>
      <c r="D9" s="40"/>
      <c r="E9" s="40"/>
    </row>
    <row r="10" spans="1:5" x14ac:dyDescent="0.25">
      <c r="A10" s="40"/>
      <c r="B10" s="40"/>
      <c r="C10" s="40"/>
      <c r="D10" s="40"/>
      <c r="E10" s="40"/>
    </row>
    <row r="11" spans="1:5" x14ac:dyDescent="0.25">
      <c r="A11" s="40" t="s">
        <v>51</v>
      </c>
      <c r="B11" s="41"/>
      <c r="C11" s="41"/>
      <c r="D11" s="41"/>
      <c r="E11" s="40"/>
    </row>
    <row r="12" spans="1:5" x14ac:dyDescent="0.25">
      <c r="B12" s="40" t="s">
        <v>55</v>
      </c>
      <c r="C12" s="40"/>
      <c r="D12" s="40"/>
      <c r="E12" s="40"/>
    </row>
    <row r="13" spans="1:5" x14ac:dyDescent="0.25">
      <c r="B13" s="40" t="s">
        <v>77</v>
      </c>
      <c r="C13" s="40"/>
      <c r="D13" s="40"/>
      <c r="E13" s="40"/>
    </row>
    <row r="14" spans="1:5" x14ac:dyDescent="0.25">
      <c r="B14" s="43" t="s">
        <v>71</v>
      </c>
      <c r="C14" s="40"/>
      <c r="D14" s="40"/>
      <c r="E14" s="40"/>
    </row>
    <row r="15" spans="1:5" x14ac:dyDescent="0.25">
      <c r="A15" s="40"/>
      <c r="B15" s="40"/>
      <c r="C15" s="40"/>
      <c r="D15" s="40"/>
      <c r="E15" s="40"/>
    </row>
    <row r="16" spans="1:5" x14ac:dyDescent="0.25">
      <c r="A16" t="s">
        <v>79</v>
      </c>
      <c r="B16" s="40"/>
      <c r="C16" s="40"/>
      <c r="D16" s="40"/>
      <c r="E16" s="40"/>
    </row>
    <row r="17" spans="1:5" x14ac:dyDescent="0.25">
      <c r="A17" s="87" t="s">
        <v>80</v>
      </c>
      <c r="B17" s="40"/>
      <c r="C17" s="40"/>
      <c r="D17" s="40"/>
      <c r="E17" s="40"/>
    </row>
    <row r="18" spans="1:5" x14ac:dyDescent="0.25">
      <c r="A18" s="40"/>
      <c r="B18" s="40"/>
      <c r="C18" s="40"/>
      <c r="D18" s="40"/>
      <c r="E18" s="40"/>
    </row>
    <row r="19" spans="1:5" x14ac:dyDescent="0.25">
      <c r="A19" s="40" t="s">
        <v>54</v>
      </c>
      <c r="B19" s="40"/>
      <c r="C19" s="40"/>
      <c r="D19" s="40"/>
      <c r="E19" s="40"/>
    </row>
    <row r="20" spans="1:5" x14ac:dyDescent="0.25">
      <c r="A20" s="40"/>
      <c r="B20" s="44" t="s">
        <v>56</v>
      </c>
      <c r="C20" s="41"/>
      <c r="D20" s="41"/>
      <c r="E20" s="40"/>
    </row>
    <row r="21" spans="1:5" x14ac:dyDescent="0.25">
      <c r="A21" s="42"/>
      <c r="B21" s="43" t="s">
        <v>71</v>
      </c>
      <c r="C21" s="40"/>
      <c r="D21" s="40"/>
      <c r="E21" s="40"/>
    </row>
    <row r="22" spans="1:5" x14ac:dyDescent="0.25">
      <c r="A22" s="40"/>
      <c r="B22" s="40"/>
      <c r="C22" s="40"/>
      <c r="D22" s="40"/>
      <c r="E22" s="40"/>
    </row>
    <row r="23" spans="1:5" x14ac:dyDescent="0.25">
      <c r="A23" s="40" t="s">
        <v>58</v>
      </c>
      <c r="B23" s="40"/>
      <c r="C23" s="40"/>
      <c r="D23" s="40"/>
      <c r="E23" s="40"/>
    </row>
    <row r="24" spans="1:5" x14ac:dyDescent="0.25">
      <c r="A24" s="40"/>
      <c r="B24" t="s">
        <v>57</v>
      </c>
      <c r="C24" s="40"/>
      <c r="D24" s="40"/>
      <c r="E24" s="40"/>
    </row>
    <row r="25" spans="1:5" x14ac:dyDescent="0.25">
      <c r="A25" s="40"/>
      <c r="B25" s="43" t="s">
        <v>71</v>
      </c>
      <c r="C25" s="40"/>
      <c r="D25" s="40"/>
      <c r="E25" s="40"/>
    </row>
    <row r="26" spans="1:5" x14ac:dyDescent="0.25">
      <c r="A26" s="40"/>
      <c r="B26" s="40"/>
      <c r="C26" s="40"/>
      <c r="D26" s="40"/>
      <c r="E26" s="40"/>
    </row>
    <row r="27" spans="1:5" x14ac:dyDescent="0.25">
      <c r="A27" t="s">
        <v>59</v>
      </c>
      <c r="C27" s="40"/>
      <c r="D27" s="40"/>
      <c r="E27" s="40"/>
    </row>
    <row r="28" spans="1:5" x14ac:dyDescent="0.25">
      <c r="B28" t="s">
        <v>60</v>
      </c>
    </row>
    <row r="29" spans="1:5" x14ac:dyDescent="0.25">
      <c r="B29" s="43" t="s">
        <v>72</v>
      </c>
    </row>
    <row r="31" spans="1:5" x14ac:dyDescent="0.25">
      <c r="A31" t="s">
        <v>49</v>
      </c>
    </row>
    <row r="32" spans="1:5" x14ac:dyDescent="0.25">
      <c r="B32" t="s">
        <v>61</v>
      </c>
    </row>
    <row r="33" spans="1:2" x14ac:dyDescent="0.25">
      <c r="B33" s="43" t="s">
        <v>71</v>
      </c>
    </row>
    <row r="35" spans="1:2" x14ac:dyDescent="0.25">
      <c r="A35" t="s">
        <v>62</v>
      </c>
    </row>
    <row r="36" spans="1:2" x14ac:dyDescent="0.25">
      <c r="B36" t="s">
        <v>63</v>
      </c>
    </row>
    <row r="37" spans="1:2" x14ac:dyDescent="0.25">
      <c r="B37" t="s">
        <v>71</v>
      </c>
    </row>
  </sheetData>
  <hyperlinks>
    <hyperlink ref="A17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sqref="A1:E34"/>
    </sheetView>
  </sheetViews>
  <sheetFormatPr defaultColWidth="11" defaultRowHeight="15.75" x14ac:dyDescent="0.25"/>
  <cols>
    <col min="1" max="1" width="33.375" customWidth="1"/>
  </cols>
  <sheetData>
    <row r="1" spans="1:6" x14ac:dyDescent="0.25">
      <c r="A1" s="27" t="s">
        <v>25</v>
      </c>
    </row>
    <row r="2" spans="1:6" x14ac:dyDescent="0.25">
      <c r="A2" t="s">
        <v>26</v>
      </c>
    </row>
    <row r="3" spans="1:6" x14ac:dyDescent="0.25">
      <c r="A3" t="s">
        <v>27</v>
      </c>
    </row>
    <row r="6" spans="1:6" x14ac:dyDescent="0.25">
      <c r="A6" s="28"/>
      <c r="B6" s="108" t="s">
        <v>28</v>
      </c>
      <c r="C6" s="108"/>
      <c r="D6" s="108"/>
      <c r="E6" s="108"/>
      <c r="F6" s="29"/>
    </row>
    <row r="7" spans="1:6" x14ac:dyDescent="0.25">
      <c r="A7" s="30"/>
      <c r="B7" s="31" t="s">
        <v>29</v>
      </c>
      <c r="C7" s="31" t="s">
        <v>30</v>
      </c>
      <c r="D7" s="31" t="s">
        <v>31</v>
      </c>
      <c r="E7" s="31" t="s">
        <v>32</v>
      </c>
    </row>
    <row r="8" spans="1:6" x14ac:dyDescent="0.25">
      <c r="C8" s="32"/>
      <c r="D8" s="32"/>
      <c r="E8" s="32"/>
      <c r="F8" s="32"/>
    </row>
    <row r="9" spans="1:6" ht="31.5" x14ac:dyDescent="0.25">
      <c r="A9" s="33" t="s">
        <v>33</v>
      </c>
      <c r="B9" s="34">
        <v>124059</v>
      </c>
      <c r="C9" s="34">
        <v>84058</v>
      </c>
      <c r="D9" s="34">
        <v>73189</v>
      </c>
      <c r="E9" s="34">
        <v>50726</v>
      </c>
    </row>
    <row r="10" spans="1:6" x14ac:dyDescent="0.25">
      <c r="C10" s="32"/>
      <c r="D10" s="32"/>
      <c r="E10" s="32"/>
      <c r="F10" s="32"/>
    </row>
    <row r="11" spans="1:6" x14ac:dyDescent="0.25">
      <c r="A11" s="27" t="s">
        <v>34</v>
      </c>
      <c r="B11" s="34">
        <v>105945</v>
      </c>
      <c r="C11" s="34">
        <v>77945</v>
      </c>
      <c r="D11" s="34">
        <v>66821</v>
      </c>
      <c r="E11" s="34">
        <v>51506</v>
      </c>
      <c r="F11" s="32"/>
    </row>
    <row r="13" spans="1:6" x14ac:dyDescent="0.25">
      <c r="A13" s="27" t="s">
        <v>35</v>
      </c>
      <c r="B13" s="34">
        <v>102753</v>
      </c>
      <c r="C13" s="34">
        <v>75469</v>
      </c>
      <c r="D13" s="34">
        <v>63735</v>
      </c>
      <c r="E13" s="34">
        <v>52654</v>
      </c>
      <c r="F13" s="34"/>
    </row>
    <row r="14" spans="1:6" x14ac:dyDescent="0.25">
      <c r="C14" s="34"/>
      <c r="D14" s="34"/>
      <c r="E14" s="34"/>
      <c r="F14" s="34"/>
    </row>
    <row r="15" spans="1:6" x14ac:dyDescent="0.25">
      <c r="A15" s="27" t="s">
        <v>36</v>
      </c>
      <c r="B15" s="34">
        <v>113284</v>
      </c>
      <c r="C15" s="34">
        <v>76342</v>
      </c>
      <c r="D15" s="34">
        <v>63218</v>
      </c>
      <c r="E15" s="34">
        <v>46304</v>
      </c>
      <c r="F15" s="34"/>
    </row>
    <row r="17" spans="1:6" x14ac:dyDescent="0.25">
      <c r="A17" s="27" t="s">
        <v>37</v>
      </c>
      <c r="B17" s="34">
        <v>134877</v>
      </c>
      <c r="C17" s="34">
        <v>96320</v>
      </c>
      <c r="D17" s="34">
        <v>82836</v>
      </c>
      <c r="E17" s="34">
        <v>59285</v>
      </c>
      <c r="F17" s="34"/>
    </row>
    <row r="19" spans="1:6" x14ac:dyDescent="0.25">
      <c r="A19" s="27" t="s">
        <v>38</v>
      </c>
      <c r="B19" s="34">
        <v>106924</v>
      </c>
      <c r="C19" s="34">
        <v>75121</v>
      </c>
      <c r="D19" s="34">
        <v>61459</v>
      </c>
      <c r="E19" s="34">
        <v>49606</v>
      </c>
      <c r="F19" s="34"/>
    </row>
    <row r="21" spans="1:6" x14ac:dyDescent="0.25">
      <c r="A21" s="27" t="s">
        <v>39</v>
      </c>
      <c r="B21" s="34">
        <v>115521</v>
      </c>
      <c r="C21" s="34">
        <v>82680</v>
      </c>
      <c r="D21" s="34">
        <v>69174</v>
      </c>
      <c r="E21" s="34">
        <v>48002</v>
      </c>
      <c r="F21" s="34"/>
    </row>
    <row r="23" spans="1:6" x14ac:dyDescent="0.25">
      <c r="A23" s="27" t="s">
        <v>40</v>
      </c>
      <c r="B23" s="34">
        <v>116668</v>
      </c>
      <c r="C23" s="34">
        <v>78929</v>
      </c>
      <c r="D23" s="34">
        <v>66935</v>
      </c>
      <c r="E23" s="34">
        <v>50800</v>
      </c>
      <c r="F23" s="34"/>
    </row>
    <row r="24" spans="1:6" x14ac:dyDescent="0.25">
      <c r="C24" s="34"/>
      <c r="D24" s="34"/>
      <c r="E24" s="34"/>
      <c r="F24" s="34"/>
    </row>
    <row r="25" spans="1:6" x14ac:dyDescent="0.25">
      <c r="A25" s="27" t="s">
        <v>41</v>
      </c>
      <c r="C25" s="34"/>
      <c r="D25" s="34"/>
      <c r="E25" s="34"/>
      <c r="F25" s="34"/>
    </row>
    <row r="26" spans="1:6" x14ac:dyDescent="0.25">
      <c r="A26" s="35" t="s">
        <v>42</v>
      </c>
      <c r="B26" s="34">
        <v>98825.333333333328</v>
      </c>
      <c r="C26" s="34">
        <v>72144</v>
      </c>
      <c r="D26" s="34">
        <v>60047.333333333336</v>
      </c>
      <c r="E26" s="34">
        <v>42131.5</v>
      </c>
    </row>
    <row r="27" spans="1:6" ht="31.5" x14ac:dyDescent="0.25">
      <c r="A27" s="36" t="s">
        <v>43</v>
      </c>
      <c r="B27" s="34">
        <v>174706</v>
      </c>
      <c r="C27" s="34">
        <v>131826</v>
      </c>
      <c r="D27" s="34">
        <v>130171</v>
      </c>
      <c r="E27" s="34">
        <v>75408</v>
      </c>
      <c r="F27" s="34"/>
    </row>
    <row r="29" spans="1:6" x14ac:dyDescent="0.25">
      <c r="A29" s="27" t="s">
        <v>44</v>
      </c>
      <c r="B29" s="34">
        <v>122224</v>
      </c>
      <c r="C29" s="34">
        <v>83008</v>
      </c>
      <c r="D29" s="34">
        <v>69952</v>
      </c>
      <c r="E29" s="34">
        <v>49010</v>
      </c>
      <c r="F29" s="34"/>
    </row>
    <row r="30" spans="1:6" x14ac:dyDescent="0.25">
      <c r="C30" s="34"/>
      <c r="D30" s="34"/>
      <c r="E30" s="34"/>
      <c r="F30" s="34"/>
    </row>
    <row r="31" spans="1:6" x14ac:dyDescent="0.25">
      <c r="A31" s="27" t="s">
        <v>45</v>
      </c>
      <c r="B31" s="34">
        <v>130182</v>
      </c>
      <c r="C31" s="34">
        <v>88143</v>
      </c>
      <c r="D31" s="34">
        <v>72128</v>
      </c>
      <c r="E31" s="34">
        <v>55088</v>
      </c>
      <c r="F31" s="34"/>
    </row>
    <row r="32" spans="1:6" x14ac:dyDescent="0.25">
      <c r="B32" s="37"/>
      <c r="C32" s="34"/>
      <c r="D32" s="34"/>
      <c r="E32" s="34"/>
      <c r="F32" s="34"/>
    </row>
    <row r="33" spans="1:6" x14ac:dyDescent="0.25">
      <c r="A33" s="27" t="s">
        <v>46</v>
      </c>
      <c r="B33" s="34">
        <v>113115</v>
      </c>
      <c r="C33" s="34">
        <v>89117</v>
      </c>
      <c r="D33" s="34">
        <v>76807</v>
      </c>
      <c r="E33" s="34">
        <v>55187</v>
      </c>
      <c r="F33" s="34"/>
    </row>
    <row r="34" spans="1:6" ht="32.25" thickBot="1" x14ac:dyDescent="0.3">
      <c r="A34" s="38" t="s">
        <v>47</v>
      </c>
      <c r="B34" s="39"/>
      <c r="C34" s="39"/>
      <c r="D34" s="39"/>
      <c r="E34" s="39"/>
    </row>
  </sheetData>
  <mergeCells count="1">
    <mergeCell ref="B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H15"/>
    </sheetView>
  </sheetViews>
  <sheetFormatPr defaultColWidth="11" defaultRowHeight="15.75" x14ac:dyDescent="0.25"/>
  <sheetData>
    <row r="1" spans="1:9" x14ac:dyDescent="0.25">
      <c r="I1" s="8"/>
    </row>
    <row r="2" spans="1:9" x14ac:dyDescent="0.25">
      <c r="I2" s="8"/>
    </row>
    <row r="3" spans="1:9" x14ac:dyDescent="0.25">
      <c r="I3" s="8"/>
    </row>
    <row r="4" spans="1:9" x14ac:dyDescent="0.25">
      <c r="I4" s="8"/>
    </row>
    <row r="5" spans="1:9" x14ac:dyDescent="0.25">
      <c r="I5" s="8"/>
    </row>
    <row r="6" spans="1:9" x14ac:dyDescent="0.25">
      <c r="I6" s="8"/>
    </row>
    <row r="7" spans="1:9" x14ac:dyDescent="0.25">
      <c r="I7" s="8"/>
    </row>
    <row r="8" spans="1:9" x14ac:dyDescent="0.25">
      <c r="I8" s="8"/>
    </row>
    <row r="9" spans="1:9" x14ac:dyDescent="0.25">
      <c r="I9" s="8"/>
    </row>
    <row r="10" spans="1:9" x14ac:dyDescent="0.25">
      <c r="I10" s="8"/>
    </row>
    <row r="11" spans="1:9" x14ac:dyDescent="0.25">
      <c r="I11" s="8"/>
    </row>
    <row r="12" spans="1:9" x14ac:dyDescent="0.25">
      <c r="I12" s="8"/>
    </row>
    <row r="13" spans="1:9" x14ac:dyDescent="0.25">
      <c r="I13" s="8"/>
    </row>
    <row r="14" spans="1:9" x14ac:dyDescent="0.25">
      <c r="I14" s="8"/>
    </row>
    <row r="15" spans="1:9" x14ac:dyDescent="0.25">
      <c r="I15" s="8"/>
    </row>
    <row r="16" spans="1:9" x14ac:dyDescent="0.25">
      <c r="A16" s="8"/>
      <c r="B16" s="8"/>
      <c r="C16" s="8"/>
      <c r="D16" s="8"/>
      <c r="E16" s="8"/>
      <c r="F16" s="8"/>
      <c r="G16" s="8"/>
      <c r="H16" s="8"/>
      <c r="I1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Financial Summary</vt:lpstr>
      <vt:lpstr>Notes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Sherm Bloomer</dc:creator>
  <cp:lastModifiedBy>Adrienne Wonhof</cp:lastModifiedBy>
  <cp:lastPrinted>2017-11-28T17:55:57Z</cp:lastPrinted>
  <dcterms:created xsi:type="dcterms:W3CDTF">2017-10-26T21:45:56Z</dcterms:created>
  <dcterms:modified xsi:type="dcterms:W3CDTF">2022-02-21T22:03:04Z</dcterms:modified>
</cp:coreProperties>
</file>